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1 Inputs" sheetId="2" state="visible" r:id="rId2"/>
    <sheet xmlns:r="http://schemas.openxmlformats.org/officeDocument/2006/relationships" name="2 Benefits" sheetId="3" state="visible" r:id="rId3"/>
    <sheet xmlns:r="http://schemas.openxmlformats.org/officeDocument/2006/relationships" name="3 Payback &amp; retur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onsolas"/>
      <color rgb="00FFFFFF"/>
      <sz val="9"/>
    </font>
    <font>
      <name val="Consolas"/>
      <b val="1"/>
      <color rgb="00E8272E"/>
      <sz val="9"/>
    </font>
    <font>
      <name val="Calibri"/>
      <sz val="10"/>
    </font>
    <font>
      <name val="Calibri"/>
      <color rgb="003C3C3A"/>
      <sz val="9"/>
    </font>
    <font>
      <name val="Calibri"/>
      <b val="1"/>
      <color rgb="00FFFFFF"/>
      <sz val="11"/>
    </font>
    <font>
      <name val="Calibri"/>
      <color rgb="00FFFFFF"/>
      <sz val="10"/>
    </font>
    <font>
      <name val="Calibri"/>
      <i val="1"/>
      <color rgb="008A8A86"/>
      <sz val="8"/>
    </font>
    <font>
      <name val="Consolas"/>
      <color rgb="008A8A86"/>
      <sz val="8"/>
    </font>
    <font>
      <name val="Calibri"/>
      <i val="1"/>
      <color rgb="005A5A58"/>
      <sz val="9"/>
    </font>
    <font>
      <name val="Consolas"/>
      <color rgb="005A5A58"/>
      <sz val="9"/>
    </font>
    <font>
      <name val="Calibri"/>
      <color rgb="005A5A58"/>
      <sz val="9"/>
    </font>
    <font>
      <name val="Calibri"/>
      <b val="1"/>
      <i val="1"/>
      <sz val="10"/>
    </font>
    <font>
      <name val="Consolas"/>
      <b val="1"/>
      <color rgb="00FFFFFF"/>
      <sz val="9"/>
    </font>
    <font>
      <name val="Consolas"/>
      <color rgb="005A5A58"/>
      <sz val="8.5"/>
    </font>
    <font>
      <name val="Calibri"/>
      <b val="1"/>
      <sz val="11"/>
    </font>
    <font>
      <name val="Calibri"/>
      <color rgb="005A5A58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41414"/>
      </patternFill>
    </fill>
    <fill>
      <patternFill patternType="solid">
        <fgColor rgb="00FFF8DC"/>
      </patternFill>
    </fill>
    <fill>
      <patternFill patternType="solid">
        <fgColor rgb="00EFEFEC"/>
      </patternFill>
    </fill>
    <fill>
      <patternFill patternType="solid">
        <fgColor rgb="00F7F7F4"/>
      </patternFill>
    </fill>
  </fills>
  <borders count="2">
    <border>
      <left/>
      <right/>
      <top/>
      <bottom/>
      <diagonal/>
    </border>
    <border>
      <left style="thin">
        <color rgb="00DDDDD9"/>
      </left>
      <right style="thin">
        <color rgb="00DDDDD9"/>
      </right>
      <top style="thin">
        <color rgb="00DDDDD9"/>
      </top>
      <bottom style="thin">
        <color rgb="00DDDDD9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4" fillId="0" borderId="0" pivotButton="0" quotePrefix="0" xfId="0"/>
    <xf numFmtId="0" fontId="4" fillId="3" borderId="1" applyAlignment="1" pivotButton="0" quotePrefix="0" xfId="0">
      <alignment horizontal="right"/>
    </xf>
    <xf numFmtId="0" fontId="11" fillId="0" borderId="0" pivotButton="0" quotePrefix="0" xfId="0"/>
    <xf numFmtId="0" fontId="12" fillId="0" borderId="0" pivotButton="0" quotePrefix="0" xfId="0"/>
    <xf numFmtId="4" fontId="13" fillId="4" borderId="1" applyAlignment="1" pivotButton="0" quotePrefix="0" xfId="0">
      <alignment horizontal="right"/>
    </xf>
    <xf numFmtId="0" fontId="14" fillId="2" borderId="1" applyAlignment="1" pivotButton="0" quotePrefix="0" xfId="0">
      <alignment horizontal="left" vertical="center" wrapText="1"/>
    </xf>
    <xf numFmtId="0" fontId="4" fillId="0" borderId="1" pivotButton="0" quotePrefix="0" xfId="0"/>
    <xf numFmtId="3" fontId="4" fillId="0" borderId="1" pivotButton="0" quotePrefix="0" xfId="0"/>
    <xf numFmtId="164" fontId="17" fillId="0" borderId="1" pivotButton="0" quotePrefix="0" xfId="0"/>
    <xf numFmtId="0" fontId="15" fillId="0" borderId="1" pivotButton="0" quotePrefix="0" xfId="0"/>
    <xf numFmtId="0" fontId="4" fillId="5" borderId="1" pivotButton="0" quotePrefix="0" xfId="0"/>
    <xf numFmtId="3" fontId="4" fillId="5" borderId="1" pivotButton="0" quotePrefix="0" xfId="0"/>
    <xf numFmtId="164" fontId="17" fillId="5" borderId="1" pivotButton="0" quotePrefix="0" xfId="0"/>
    <xf numFmtId="0" fontId="15" fillId="5" borderId="1" pivotButton="0" quotePrefix="0" xfId="0"/>
    <xf numFmtId="0" fontId="16" fillId="0" borderId="0" pivotButton="0" quotePrefix="0" xfId="0"/>
    <xf numFmtId="3" fontId="16" fillId="4" borderId="1" pivotButton="0" quotePrefix="0" xfId="0"/>
    <xf numFmtId="0" fontId="10" fillId="0" borderId="0" applyAlignment="1" pivotButton="0" quotePrefix="0" xfId="0">
      <alignment vertical="top" wrapText="1"/>
    </xf>
    <xf numFmtId="164" fontId="13" fillId="4" borderId="1" applyAlignment="1" pivotButton="0" quotePrefix="0" xfId="0">
      <alignment horizontal="right"/>
    </xf>
    <xf numFmtId="0" fontId="14" fillId="2" borderId="0" pivotButton="0" quotePrefix="0" xfId="0"/>
    <xf numFmtId="0" fontId="14" fillId="2" borderId="1" pivotButton="0" quotePrefix="0" xfId="0"/>
    <xf numFmtId="0" fontId="18" fillId="0" borderId="0" pivotButton="0" quotePrefix="0" xfId="0"/>
    <xf numFmtId="3" fontId="0" fillId="0" borderId="1" pivotButton="0" quotePrefix="0" xfId="0"/>
    <xf numFmtId="3" fontId="17" fillId="0" borderId="1" pivotButton="0" quotePrefix="0" xfId="0"/>
    <xf numFmtId="165" fontId="4" fillId="0" borderId="1" pivotButton="0" quotePrefix="0" xfId="0"/>
    <xf numFmtId="165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PMG-D6 · Automation ROI &amp; Payback Calculator</t>
        </is>
      </c>
      <c r="B2" s="2" t="n"/>
      <c r="C2" s="2" t="n"/>
      <c r="D2" s="2" t="n"/>
      <c r="E2" s="2" t="n"/>
      <c r="F2" s="2" t="n"/>
      <c r="G2" s="2" t="n"/>
      <c r="H2" s="2" t="n"/>
    </row>
    <row r="5">
      <c r="A5" s="4" t="inlineStr">
        <is>
          <t>WHAT THIS DOES</t>
        </is>
      </c>
    </row>
    <row r="6" ht="30" customHeight="1">
      <c r="A6" s="5" t="inlineStr">
        <is>
          <t>Turns an automation proposal into the four numbers a board asks for: annual benefit, simple payback, net present value and internal rate of return - with the benefit built up line by line so each claim can be challenged on its own.</t>
        </is>
      </c>
    </row>
    <row r="7" ht="30" customHeight="1">
      <c r="A7" s="5" t="inlineStr">
        <is>
          <t>Use it to compare competing proposals on the same basis, and to find out early whether a case rests on labour saving, on yield, or on a throughput assumption nobody has validated.</t>
        </is>
      </c>
    </row>
    <row r="9">
      <c r="A9" s="4" t="inlineStr">
        <is>
          <t>HOW TO USE IT</t>
        </is>
      </c>
    </row>
    <row r="10" ht="30" customHeight="1">
      <c r="A10" s="5" t="inlineStr">
        <is>
          <t>1.  Fill the straw-coloured cells on '1 Inputs'. Grey cells are calculated - do not type in them.</t>
        </is>
      </c>
    </row>
    <row r="11" ht="30" customHeight="1">
      <c r="A11" s="5" t="inlineStr">
        <is>
          <t>2.  Read '2 Benefits' to see where the money actually comes from. A case that is 90% one line is a case with one risk.</t>
        </is>
      </c>
    </row>
    <row r="12" ht="30" customHeight="1">
      <c r="A12" s="5" t="inlineStr">
        <is>
          <t>3.  Read '3 Payback &amp; returns' for payback, NPV and IRR over your evaluation period.</t>
        </is>
      </c>
    </row>
    <row r="13" ht="30" customHeight="1">
      <c r="A13" s="5" t="inlineStr">
        <is>
          <t>4.  Check the sensitivity grid on the same sheet before presenting. If the case only works at the optimistic end of both capex and benefit, it is not yet a case.</t>
        </is>
      </c>
    </row>
    <row r="15">
      <c r="A15" s="4" t="inlineStr">
        <is>
          <t>BASIS &amp; LIMITATIONS</t>
        </is>
      </c>
    </row>
    <row r="16" ht="30" customHeight="1">
      <c r="A16" s="5" t="inlineStr">
        <is>
          <t>Pre-tax, in constant money. No depreciation, tax shield or inflation is modelled - add them in your own financial appraisal if your organisation requires them.</t>
        </is>
      </c>
    </row>
    <row r="17" ht="30" customHeight="1">
      <c r="A17" s="5" t="inlineStr">
        <is>
          <t>Benefits are annual and steady from year 1. If the line takes months to reach rated output, reduce the first year manually or the payback will be optimistic.</t>
        </is>
      </c>
    </row>
    <row r="18" ht="30" customHeight="1">
      <c r="A18" s="5" t="inlineStr">
        <is>
          <t>Only incremental cash flows belong here. Sunk costs, overheads that do not change, and capacity you cannot actually sell are not benefits.</t>
        </is>
      </c>
    </row>
    <row r="19" ht="30" customHeight="1">
      <c r="A19" s="5" t="inlineStr">
        <is>
          <t>Throughput benefit is credited at contribution margin, not sales price - extra units still consume materials.</t>
        </is>
      </c>
    </row>
    <row r="21">
      <c r="A21" s="4" t="inlineStr">
        <is>
          <t>REFERENCES</t>
        </is>
      </c>
    </row>
    <row r="22">
      <c r="A22" s="6" t="inlineStr">
        <is>
          <t>·  Standard discounted cash flow appraisal (NPV / IRR), as implemented by Excel's NPV and IRR functions</t>
        </is>
      </c>
    </row>
    <row r="23">
      <c r="A23" s="6" t="inlineStr">
        <is>
          <t>·  Benefit categories follow conventional manufacturing business-case practice</t>
        </is>
      </c>
    </row>
    <row r="25">
      <c r="A25" s="7" t="inlineStr">
        <is>
          <t>NEED THIS ENGINEERED FOR YOUR FACTORY?</t>
        </is>
      </c>
    </row>
    <row r="26" ht="42" customHeight="1">
      <c r="A26" s="8" t="inlineStr">
        <is>
          <t>PMG has engineered 250+ food &amp; beverage factories across 15+ markets — from concept layout and hygienic design to detailed engineering, construction supervision and commissioning.   info@pmg.engineering   ·   pmg.engineering</t>
        </is>
      </c>
    </row>
    <row r="28">
      <c r="A28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29">
      <c r="A29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48" customWidth="1" min="1" max="1"/>
    <col width="16" customWidth="1" min="2" max="2"/>
    <col width="14" customWidth="1" min="3" max="3"/>
    <col width="56" customWidth="1" min="4" max="4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PMG-D6 · Automation ROI &amp; Payback Calculator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Straw cells = enter your values. Grey cells are calculated. Use one currency consistently.</t>
        </is>
      </c>
    </row>
    <row r="5">
      <c r="A5" s="7" t="inlineStr">
        <is>
          <t>1  OPERATING BASIS</t>
        </is>
      </c>
      <c r="B5" s="2" t="n"/>
      <c r="C5" s="2" t="n"/>
      <c r="D5" s="2" t="n"/>
      <c r="E5" s="2" t="n"/>
      <c r="F5" s="2" t="n"/>
      <c r="G5" s="2" t="n"/>
      <c r="H5" s="2" t="n"/>
    </row>
    <row r="6">
      <c r="A6" s="12" t="inlineStr">
        <is>
          <t>Shifts per day</t>
        </is>
      </c>
      <c r="B6" s="13" t="n">
        <v>2</v>
      </c>
      <c r="C6" s="14" t="inlineStr">
        <is>
          <t>shifts</t>
        </is>
      </c>
    </row>
    <row r="7">
      <c r="A7" s="12" t="inlineStr">
        <is>
          <t>Operating days per year</t>
        </is>
      </c>
      <c r="B7" s="13" t="n">
        <v>300</v>
      </c>
      <c r="C7" s="14" t="inlineStr">
        <is>
          <t>days</t>
        </is>
      </c>
    </row>
    <row r="8">
      <c r="A8" s="12" t="inlineStr">
        <is>
          <t>Annual output - current</t>
        </is>
      </c>
      <c r="B8" s="13" t="n">
        <v>6000</v>
      </c>
      <c r="C8" s="14" t="inlineStr">
        <is>
          <t>units/yr</t>
        </is>
      </c>
      <c r="D8" s="15" t="inlineStr">
        <is>
          <t>Tonnes, cases or units - stay consistent</t>
        </is>
      </c>
    </row>
    <row r="9">
      <c r="A9" s="12" t="inlineStr">
        <is>
          <t>Contribution margin per unit</t>
        </is>
      </c>
      <c r="B9" s="13" t="n">
        <v>1200</v>
      </c>
      <c r="C9" s="14" t="inlineStr">
        <is>
          <t>cur/unit</t>
        </is>
      </c>
      <c r="D9" s="15" t="inlineStr">
        <is>
          <t>Sales price less variable cost - NOT sales price</t>
        </is>
      </c>
    </row>
    <row r="10">
      <c r="A10" s="12" t="inlineStr">
        <is>
          <t>Material cost per unit</t>
        </is>
      </c>
      <c r="B10" s="13" t="n">
        <v>3000</v>
      </c>
      <c r="C10" s="14" t="inlineStr">
        <is>
          <t>cur/unit</t>
        </is>
      </c>
    </row>
    <row r="12">
      <c r="A12" s="7" t="inlineStr">
        <is>
          <t>2  CURRENT STATE</t>
        </is>
      </c>
      <c r="B12" s="2" t="n"/>
      <c r="C12" s="2" t="n"/>
      <c r="D12" s="2" t="n"/>
      <c r="E12" s="2" t="n"/>
      <c r="F12" s="2" t="n"/>
      <c r="G12" s="2" t="n"/>
      <c r="H12" s="2" t="n"/>
    </row>
    <row r="13">
      <c r="A13" s="11" t="inlineStr">
        <is>
          <t>What the process costs today. This is the baseline every benefit is measured against.</t>
        </is>
      </c>
    </row>
    <row r="14">
      <c r="A14" s="12" t="inlineStr">
        <is>
          <t>Direct operators per shift</t>
        </is>
      </c>
      <c r="B14" s="13" t="n">
        <v>6</v>
      </c>
      <c r="C14" s="14" t="inlineStr">
        <is>
          <t>persons</t>
        </is>
      </c>
    </row>
    <row r="15">
      <c r="A15" s="12" t="inlineStr">
        <is>
          <t>Fully-loaded cost per operator</t>
        </is>
      </c>
      <c r="B15" s="13" t="n">
        <v>480000</v>
      </c>
      <c r="C15" s="14" t="inlineStr">
        <is>
          <t>cur/yr</t>
        </is>
      </c>
      <c r="D15" s="15" t="inlineStr">
        <is>
          <t>Wages + benefits + statutory + supervision</t>
        </is>
      </c>
    </row>
    <row r="16">
      <c r="A16" s="12" t="inlineStr">
        <is>
          <t>First-pass yield</t>
        </is>
      </c>
      <c r="B16" s="13" t="n">
        <v>92</v>
      </c>
      <c r="C16" s="14" t="inlineStr">
        <is>
          <t>%</t>
        </is>
      </c>
    </row>
    <row r="17">
      <c r="A17" s="12" t="inlineStr">
        <is>
          <t>Rework rate</t>
        </is>
      </c>
      <c r="B17" s="13" t="n">
        <v>4</v>
      </c>
      <c r="C17" s="14" t="inlineStr">
        <is>
          <t>% of output</t>
        </is>
      </c>
    </row>
    <row r="18">
      <c r="A18" s="12" t="inlineStr">
        <is>
          <t>Rework cost per unit</t>
        </is>
      </c>
      <c r="B18" s="13" t="n">
        <v>400</v>
      </c>
      <c r="C18" s="14" t="inlineStr">
        <is>
          <t>cur/unit</t>
        </is>
      </c>
    </row>
    <row r="19">
      <c r="A19" s="12" t="inlineStr">
        <is>
          <t>Unplanned downtime</t>
        </is>
      </c>
      <c r="B19" s="13" t="n">
        <v>8</v>
      </c>
      <c r="C19" s="14" t="inlineStr">
        <is>
          <t>% of planned</t>
        </is>
      </c>
    </row>
    <row r="21">
      <c r="A21" s="7" t="inlineStr">
        <is>
          <t>3  INVESTMENT</t>
        </is>
      </c>
      <c r="B21" s="2" t="n"/>
      <c r="C21" s="2" t="n"/>
      <c r="D21" s="2" t="n"/>
      <c r="E21" s="2" t="n"/>
      <c r="F21" s="2" t="n"/>
      <c r="G21" s="2" t="n"/>
      <c r="H21" s="2" t="n"/>
    </row>
    <row r="22">
      <c r="A22" s="11" t="inlineStr">
        <is>
          <t>Everything spent before it makes a single good unit.</t>
        </is>
      </c>
    </row>
    <row r="23">
      <c r="A23" s="12" t="inlineStr">
        <is>
          <t>Equipment capital cost</t>
        </is>
      </c>
      <c r="B23" s="13" t="n">
        <v>8000000</v>
      </c>
      <c r="C23" s="14" t="inlineStr">
        <is>
          <t>cur</t>
        </is>
      </c>
    </row>
    <row r="24">
      <c r="A24" s="12" t="inlineStr">
        <is>
          <t>Installation, civil &amp; services</t>
        </is>
      </c>
      <c r="B24" s="13" t="n">
        <v>2000000</v>
      </c>
      <c r="C24" s="14" t="inlineStr">
        <is>
          <t>cur</t>
        </is>
      </c>
    </row>
    <row r="25">
      <c r="A25" s="12" t="inlineStr">
        <is>
          <t>Integration, controls &amp; software</t>
        </is>
      </c>
      <c r="B25" s="13" t="n">
        <v>1500000</v>
      </c>
      <c r="C25" s="14" t="inlineStr">
        <is>
          <t>cur</t>
        </is>
      </c>
    </row>
    <row r="26">
      <c r="A26" s="12" t="inlineStr">
        <is>
          <t>Training &amp; commissioning support</t>
        </is>
      </c>
      <c r="B26" s="13" t="n">
        <v>500000</v>
      </c>
      <c r="C26" s="14" t="inlineStr">
        <is>
          <t>cur</t>
        </is>
      </c>
    </row>
    <row r="27">
      <c r="A27" s="12" t="inlineStr">
        <is>
          <t>Contingency</t>
        </is>
      </c>
      <c r="B27" s="13" t="n">
        <v>10</v>
      </c>
      <c r="C27" s="14" t="inlineStr">
        <is>
          <t>%</t>
        </is>
      </c>
      <c r="D27" s="15" t="inlineStr">
        <is>
          <t>Applied to the four lines above</t>
        </is>
      </c>
    </row>
    <row r="28">
      <c r="A28" s="12" t="inlineStr">
        <is>
          <t>TOTAL INVESTMENT</t>
        </is>
      </c>
      <c r="B28" s="16">
        <f>(B23+B24+B25+B26)*(1+B27/100)</f>
        <v/>
      </c>
      <c r="C28" s="14" t="inlineStr">
        <is>
          <t>cur</t>
        </is>
      </c>
    </row>
    <row r="30">
      <c r="A30" s="7" t="inlineStr">
        <is>
          <t>4  EXPECTED PERFORMANCE AFTER</t>
        </is>
      </c>
      <c r="B30" s="2" t="n"/>
      <c r="C30" s="2" t="n"/>
      <c r="D30" s="2" t="n"/>
      <c r="E30" s="2" t="n"/>
      <c r="F30" s="2" t="n"/>
      <c r="G30" s="2" t="n"/>
      <c r="H30" s="2" t="n"/>
    </row>
    <row r="31">
      <c r="A31" s="11" t="inlineStr">
        <is>
          <t>State these conservatively. Every one is a claim someone will hold you to.</t>
        </is>
      </c>
    </row>
    <row r="32">
      <c r="A32" s="12" t="inlineStr">
        <is>
          <t>Direct operators per shift - after</t>
        </is>
      </c>
      <c r="B32" s="13" t="n">
        <v>2</v>
      </c>
      <c r="C32" s="14" t="inlineStr">
        <is>
          <t>persons</t>
        </is>
      </c>
    </row>
    <row r="33">
      <c r="A33" s="12" t="inlineStr">
        <is>
          <t>First-pass yield - after</t>
        </is>
      </c>
      <c r="B33" s="13" t="n">
        <v>96</v>
      </c>
      <c r="C33" s="14" t="inlineStr">
        <is>
          <t>%</t>
        </is>
      </c>
    </row>
    <row r="34">
      <c r="A34" s="12" t="inlineStr">
        <is>
          <t>Rework rate - after</t>
        </is>
      </c>
      <c r="B34" s="13" t="n">
        <v>1.5</v>
      </c>
      <c r="C34" s="14" t="inlineStr">
        <is>
          <t>% of output</t>
        </is>
      </c>
    </row>
    <row r="35">
      <c r="A35" s="12" t="inlineStr">
        <is>
          <t>Unplanned downtime - after</t>
        </is>
      </c>
      <c r="B35" s="13" t="n">
        <v>4</v>
      </c>
      <c r="C35" s="14" t="inlineStr">
        <is>
          <t>% of planned</t>
        </is>
      </c>
    </row>
    <row r="36">
      <c r="A36" s="12" t="inlineStr">
        <is>
          <t>Throughput increase</t>
        </is>
      </c>
      <c r="B36" s="13" t="n">
        <v>8</v>
      </c>
      <c r="C36" s="14" t="inlineStr">
        <is>
          <t>%</t>
        </is>
      </c>
      <c r="D36" s="15" t="inlineStr">
        <is>
          <t>Only credit output you can actually sell</t>
        </is>
      </c>
    </row>
    <row r="37">
      <c r="A37" s="12" t="inlineStr">
        <is>
          <t>Annual maintenance &amp; spares</t>
        </is>
      </c>
      <c r="B37" s="13" t="n">
        <v>900000</v>
      </c>
      <c r="C37" s="14" t="inlineStr">
        <is>
          <t>cur/yr</t>
        </is>
      </c>
      <c r="D37" s="15" t="inlineStr">
        <is>
          <t>A cost, not a saving</t>
        </is>
      </c>
    </row>
    <row r="38">
      <c r="A38" s="12" t="inlineStr">
        <is>
          <t>Change in energy cost</t>
        </is>
      </c>
      <c r="B38" s="13" t="n">
        <v>350000</v>
      </c>
      <c r="C38" s="14" t="inlineStr">
        <is>
          <t>cur/yr</t>
        </is>
      </c>
      <c r="D38" s="15" t="inlineStr">
        <is>
          <t>Positive = higher energy cost after automation</t>
        </is>
      </c>
    </row>
    <row r="40">
      <c r="A40" s="7" t="inlineStr">
        <is>
          <t>5  FINANCIAL</t>
        </is>
      </c>
      <c r="B40" s="2" t="n"/>
      <c r="C40" s="2" t="n"/>
      <c r="D40" s="2" t="n"/>
      <c r="E40" s="2" t="n"/>
      <c r="F40" s="2" t="n"/>
      <c r="G40" s="2" t="n"/>
      <c r="H40" s="2" t="n"/>
    </row>
    <row r="41">
      <c r="A41" s="12" t="inlineStr">
        <is>
          <t>Discount rate</t>
        </is>
      </c>
      <c r="B41" s="13" t="n">
        <v>12</v>
      </c>
      <c r="C41" s="14" t="inlineStr">
        <is>
          <t>%</t>
        </is>
      </c>
    </row>
    <row r="42">
      <c r="A42" s="12" t="inlineStr">
        <is>
          <t>Evaluation period</t>
        </is>
      </c>
      <c r="B42" s="13" t="n">
        <v>7</v>
      </c>
      <c r="C42" s="14" t="inlineStr">
        <is>
          <t>years</t>
        </is>
      </c>
      <c r="D42" s="15" t="inlineStr">
        <is>
          <t>Keep within the realistic life of the equipment</t>
        </is>
      </c>
    </row>
    <row r="45">
      <c r="A45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46">
      <c r="A46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48" customWidth="1" min="1" max="1"/>
    <col width="20" customWidth="1" min="2" max="2"/>
    <col width="14" customWidth="1" min="3" max="3"/>
    <col width="56" customWidth="1" min="4" max="4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PMG-D6 · Annual benefit build-up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Each line is a separate claim. If one line carries the case, that line is the project risk.</t>
        </is>
      </c>
    </row>
    <row r="5" ht="26" customHeight="1">
      <c r="A5" s="17" t="inlineStr">
        <is>
          <t>Benefit line</t>
        </is>
      </c>
      <c r="B5" s="17" t="inlineStr">
        <is>
          <t>Currency per year</t>
        </is>
      </c>
      <c r="C5" s="17" t="inlineStr">
        <is>
          <t>% of total</t>
        </is>
      </c>
      <c r="D5" s="17" t="inlineStr">
        <is>
          <t>How it is calculated</t>
        </is>
      </c>
    </row>
    <row r="6">
      <c r="A6" s="18" t="inlineStr">
        <is>
          <t>Direct labour</t>
        </is>
      </c>
      <c r="B6" s="19">
        <f>('1 Inputs'!B14-'1 Inputs'!B32)*'1 Inputs'!B6*'1 Inputs'!B15</f>
        <v/>
      </c>
      <c r="C6" s="20">
        <f>IF($B$13=0,0,B6/$B$13)</f>
        <v/>
      </c>
      <c r="D6" s="21" t="inlineStr">
        <is>
          <t>operators saved per shift x shifts x loaded cost</t>
        </is>
      </c>
    </row>
    <row r="7">
      <c r="A7" s="22" t="inlineStr">
        <is>
          <t>Yield improvement</t>
        </is>
      </c>
      <c r="B7" s="23">
        <f>'1 Inputs'!B8*'1 Inputs'!B10*(('1 Inputs'!B33-'1 Inputs'!B16)/100)</f>
        <v/>
      </c>
      <c r="C7" s="24">
        <f>IF($B$13=0,0,B7/$B$13)</f>
        <v/>
      </c>
      <c r="D7" s="25" t="inlineStr">
        <is>
          <t>output x material cost x yield gain in points</t>
        </is>
      </c>
    </row>
    <row r="8">
      <c r="A8" s="18" t="inlineStr">
        <is>
          <t>Rework reduction</t>
        </is>
      </c>
      <c r="B8" s="19">
        <f>'1 Inputs'!B8*(('1 Inputs'!B17-'1 Inputs'!B34)/100)*'1 Inputs'!B18</f>
        <v/>
      </c>
      <c r="C8" s="20">
        <f>IF($B$13=0,0,B8/$B$13)</f>
        <v/>
      </c>
      <c r="D8" s="21" t="inlineStr">
        <is>
          <t>output x rework-rate reduction x rework cost</t>
        </is>
      </c>
    </row>
    <row r="9">
      <c r="A9" s="22" t="inlineStr">
        <is>
          <t>Additional throughput</t>
        </is>
      </c>
      <c r="B9" s="23">
        <f>'1 Inputs'!B8*('1 Inputs'!B36/100)*'1 Inputs'!B9</f>
        <v/>
      </c>
      <c r="C9" s="24">
        <f>IF($B$13=0,0,B9/$B$13)</f>
        <v/>
      </c>
      <c r="D9" s="25" t="inlineStr">
        <is>
          <t>output x throughput increase x contribution margin</t>
        </is>
      </c>
    </row>
    <row r="10">
      <c r="A10" s="18" t="inlineStr">
        <is>
          <t>Downtime recovered</t>
        </is>
      </c>
      <c r="B10" s="19">
        <f>'1 Inputs'!B8*(('1 Inputs'!B19-'1 Inputs'!B35)/100)*'1 Inputs'!B9</f>
        <v/>
      </c>
      <c r="C10" s="20">
        <f>IF($B$13=0,0,B10/$B$13)</f>
        <v/>
      </c>
      <c r="D10" s="21" t="inlineStr">
        <is>
          <t>output x downtime reduction x contribution margin</t>
        </is>
      </c>
    </row>
    <row r="11">
      <c r="A11" s="22" t="inlineStr">
        <is>
          <t>Energy</t>
        </is>
      </c>
      <c r="B11" s="23">
        <f>-'1 Inputs'!B38</f>
        <v/>
      </c>
      <c r="C11" s="24">
        <f>IF($B$13=0,0,B11/$B$13)</f>
        <v/>
      </c>
      <c r="D11" s="25" t="inlineStr">
        <is>
          <t>negative where automation uses more energy</t>
        </is>
      </c>
    </row>
    <row r="12">
      <c r="A12" s="18" t="inlineStr">
        <is>
          <t>Maintenance &amp; spares</t>
        </is>
      </c>
      <c r="B12" s="19">
        <f>-'1 Inputs'!B37</f>
        <v/>
      </c>
      <c r="C12" s="20">
        <f>IF($B$13=0,0,B12/$B$13)</f>
        <v/>
      </c>
      <c r="D12" s="21" t="inlineStr">
        <is>
          <t>always a cost - shown negative</t>
        </is>
      </c>
    </row>
    <row r="13">
      <c r="A13" s="26" t="inlineStr">
        <is>
          <t>NET ANNUAL BENEFIT</t>
        </is>
      </c>
      <c r="B13" s="27">
        <f>SUM(B6:B12)</f>
        <v/>
      </c>
    </row>
    <row r="15">
      <c r="A15" s="28" t="inlineStr">
        <is>
          <t>Sense-check: if 'Additional throughput' or 'Downtime recovered' dominates, confirm the extra output can actually be sold. Capacity you cannot sell is not a benefit, and crediting it at contribution margin is how optimistic cases get built.</t>
        </is>
      </c>
    </row>
    <row r="17">
      <c r="A17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18">
      <c r="A18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PMG-D6 · Payback &amp; returns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Pre-tax, constant money, benefit steady from year 1.</t>
        </is>
      </c>
    </row>
    <row r="5">
      <c r="A5" s="7" t="inlineStr">
        <is>
          <t>HEADLINE</t>
        </is>
      </c>
      <c r="B5" s="2" t="n"/>
      <c r="C5" s="2" t="n"/>
      <c r="D5" s="2" t="n"/>
      <c r="E5" s="2" t="n"/>
      <c r="F5" s="2" t="n"/>
      <c r="G5" s="2" t="n"/>
      <c r="H5" s="2" t="n"/>
    </row>
    <row r="6">
      <c r="A6" s="12" t="inlineStr">
        <is>
          <t>Total investment</t>
        </is>
      </c>
      <c r="B6" s="16">
        <f>'1 Inputs'!B28</f>
        <v/>
      </c>
      <c r="C6" s="14" t="inlineStr">
        <is>
          <t>cur</t>
        </is>
      </c>
    </row>
    <row r="7">
      <c r="A7" s="12" t="inlineStr">
        <is>
          <t>Net annual benefit</t>
        </is>
      </c>
      <c r="B7" s="16">
        <f>'2 Benefits'!B13</f>
        <v/>
      </c>
      <c r="C7" s="14" t="inlineStr">
        <is>
          <t>cur/yr</t>
        </is>
      </c>
    </row>
    <row r="8">
      <c r="A8" s="12" t="inlineStr">
        <is>
          <t>SIMPLE PAYBACK</t>
        </is>
      </c>
      <c r="B8" s="16">
        <f>IF(B7&lt;=0,"no payback",B6/B7)</f>
        <v/>
      </c>
      <c r="C8" s="14" t="inlineStr">
        <is>
          <t>years</t>
        </is>
      </c>
      <c r="D8" s="15" t="inlineStr">
        <is>
          <t>investment / annual benefit</t>
        </is>
      </c>
    </row>
    <row r="9">
      <c r="A9" s="12" t="inlineStr">
        <is>
          <t>NET PRESENT VALUE</t>
        </is>
      </c>
      <c r="B9" s="16">
        <f>NPV('1 Inputs'!B41/100,C15:L15)-B6</f>
        <v/>
      </c>
      <c r="C9" s="14" t="inlineStr">
        <is>
          <t>cur</t>
        </is>
      </c>
      <c r="D9" s="15" t="inlineStr">
        <is>
          <t>at the discount rate, over the evaluation period</t>
        </is>
      </c>
    </row>
    <row r="10">
      <c r="A10" s="12" t="inlineStr">
        <is>
          <t>INTERNAL RATE OF RETURN</t>
        </is>
      </c>
      <c r="B10" s="29">
        <f>IFERROR(IRR(B15:L15),"n/a")</f>
        <v/>
      </c>
      <c r="C10" s="14" t="inlineStr"/>
      <c r="D10" s="15" t="inlineStr">
        <is>
          <t>n/a if the case never turns positive</t>
        </is>
      </c>
    </row>
    <row r="12">
      <c r="A12" s="7" t="inlineStr">
        <is>
          <t>CASH FLOW</t>
        </is>
      </c>
      <c r="B12" s="2" t="n"/>
      <c r="C12" s="2" t="n"/>
      <c r="D12" s="2" t="n"/>
      <c r="E12" s="2" t="n"/>
      <c r="F12" s="2" t="n"/>
      <c r="G12" s="2" t="n"/>
      <c r="H12" s="2" t="n"/>
    </row>
    <row r="13">
      <c r="A13" s="11" t="inlineStr">
        <is>
          <t>Year 0 is the investment. Years 1+ are the net annual benefit.</t>
        </is>
      </c>
    </row>
    <row r="14">
      <c r="A14" s="30" t="inlineStr">
        <is>
          <t>Year</t>
        </is>
      </c>
      <c r="B14" s="31" t="n">
        <v>0</v>
      </c>
      <c r="C14" s="31" t="n">
        <v>1</v>
      </c>
      <c r="D14" s="31" t="n">
        <v>2</v>
      </c>
      <c r="E14" s="31" t="n">
        <v>3</v>
      </c>
      <c r="F14" s="31" t="n">
        <v>4</v>
      </c>
      <c r="G14" s="31" t="n">
        <v>5</v>
      </c>
      <c r="H14" s="31" t="n">
        <v>6</v>
      </c>
      <c r="I14" s="31" t="n">
        <v>7</v>
      </c>
      <c r="J14" s="31" t="n">
        <v>8</v>
      </c>
      <c r="K14" s="31" t="n">
        <v>9</v>
      </c>
      <c r="L14" s="31" t="n">
        <v>10</v>
      </c>
    </row>
    <row r="15">
      <c r="A15" s="32" t="inlineStr">
        <is>
          <t>Net cash flow</t>
        </is>
      </c>
      <c r="B15" s="33">
        <f>-B6</f>
        <v/>
      </c>
      <c r="C15" s="19">
        <f>IF(1&lt;='1 Inputs'!B42,$B$7,0)</f>
        <v/>
      </c>
      <c r="D15" s="19">
        <f>IF(2&lt;='1 Inputs'!B42,$B$7,0)</f>
        <v/>
      </c>
      <c r="E15" s="19">
        <f>IF(3&lt;='1 Inputs'!B42,$B$7,0)</f>
        <v/>
      </c>
      <c r="F15" s="19">
        <f>IF(4&lt;='1 Inputs'!B42,$B$7,0)</f>
        <v/>
      </c>
      <c r="G15" s="19">
        <f>IF(5&lt;='1 Inputs'!B42,$B$7,0)</f>
        <v/>
      </c>
      <c r="H15" s="19">
        <f>IF(6&lt;='1 Inputs'!B42,$B$7,0)</f>
        <v/>
      </c>
      <c r="I15" s="19">
        <f>IF(7&lt;='1 Inputs'!B42,$B$7,0)</f>
        <v/>
      </c>
      <c r="J15" s="19">
        <f>IF(8&lt;='1 Inputs'!B42,$B$7,0)</f>
        <v/>
      </c>
      <c r="K15" s="19">
        <f>IF(9&lt;='1 Inputs'!B42,$B$7,0)</f>
        <v/>
      </c>
      <c r="L15" s="19">
        <f>IF(10&lt;='1 Inputs'!B42,$B$7,0)</f>
        <v/>
      </c>
    </row>
    <row r="16">
      <c r="A16" s="12" t="inlineStr">
        <is>
          <t>Cumulative</t>
        </is>
      </c>
      <c r="B16" s="33">
        <f>B15</f>
        <v/>
      </c>
      <c r="C16" s="34">
        <f>B16+C15</f>
        <v/>
      </c>
      <c r="D16" s="34">
        <f>C16+D15</f>
        <v/>
      </c>
      <c r="E16" s="34">
        <f>D16+E15</f>
        <v/>
      </c>
      <c r="F16" s="34">
        <f>E16+F15</f>
        <v/>
      </c>
      <c r="G16" s="34">
        <f>F16+G15</f>
        <v/>
      </c>
      <c r="H16" s="34">
        <f>G16+H15</f>
        <v/>
      </c>
      <c r="I16" s="34">
        <f>H16+I15</f>
        <v/>
      </c>
      <c r="J16" s="34">
        <f>I16+J15</f>
        <v/>
      </c>
      <c r="K16" s="34">
        <f>J16+K15</f>
        <v/>
      </c>
      <c r="L16" s="34">
        <f>K16+L15</f>
        <v/>
      </c>
    </row>
    <row r="18">
      <c r="A18" s="7" t="inlineStr">
        <is>
          <t>SENSITIVITY - SIMPLE PAYBACK IN YEARS</t>
        </is>
      </c>
      <c r="B18" s="2" t="n"/>
      <c r="C18" s="2" t="n"/>
      <c r="D18" s="2" t="n"/>
      <c r="E18" s="2" t="n"/>
      <c r="F18" s="2" t="n"/>
      <c r="G18" s="2" t="n"/>
      <c r="H18" s="2" t="n"/>
    </row>
    <row r="19">
      <c r="A19" s="11" t="inlineStr">
        <is>
          <t>Read this before presenting. A case that only works at the optimistic end of both axes is not yet a case.</t>
        </is>
      </c>
    </row>
    <row r="20">
      <c r="A20" s="30" t="inlineStr">
        <is>
          <t>Investment -&gt; / Benefit v</t>
        </is>
      </c>
      <c r="B20" s="31" t="inlineStr">
        <is>
          <t>80% of capex</t>
        </is>
      </c>
      <c r="C20" s="31" t="inlineStr">
        <is>
          <t>90% of capex</t>
        </is>
      </c>
      <c r="D20" s="31" t="inlineStr">
        <is>
          <t>100% of capex</t>
        </is>
      </c>
      <c r="E20" s="31" t="inlineStr">
        <is>
          <t>110% of capex</t>
        </is>
      </c>
      <c r="F20" s="31" t="inlineStr">
        <is>
          <t>120% of capex</t>
        </is>
      </c>
    </row>
    <row r="21">
      <c r="A21" s="32" t="inlineStr">
        <is>
          <t>120% of benefit</t>
        </is>
      </c>
      <c r="B21" s="35">
        <f>IF($B$7*1.2&lt;=0,"-",($B$6*0.8)/($B$7*1.2))</f>
        <v/>
      </c>
      <c r="C21" s="35">
        <f>IF($B$7*1.2&lt;=0,"-",($B$6*0.9)/($B$7*1.2))</f>
        <v/>
      </c>
      <c r="D21" s="35">
        <f>IF($B$7*1.2&lt;=0,"-",($B$6*1.0)/($B$7*1.2))</f>
        <v/>
      </c>
      <c r="E21" s="35">
        <f>IF($B$7*1.2&lt;=0,"-",($B$6*1.1)/($B$7*1.2))</f>
        <v/>
      </c>
      <c r="F21" s="35">
        <f>IF($B$7*1.2&lt;=0,"-",($B$6*1.2)/($B$7*1.2))</f>
        <v/>
      </c>
    </row>
    <row r="22">
      <c r="A22" s="32" t="inlineStr">
        <is>
          <t>110% of benefit</t>
        </is>
      </c>
      <c r="B22" s="35">
        <f>IF($B$7*1.1&lt;=0,"-",($B$6*0.8)/($B$7*1.1))</f>
        <v/>
      </c>
      <c r="C22" s="35">
        <f>IF($B$7*1.1&lt;=0,"-",($B$6*0.9)/($B$7*1.1))</f>
        <v/>
      </c>
      <c r="D22" s="35">
        <f>IF($B$7*1.1&lt;=0,"-",($B$6*1.0)/($B$7*1.1))</f>
        <v/>
      </c>
      <c r="E22" s="35">
        <f>IF($B$7*1.1&lt;=0,"-",($B$6*1.1)/($B$7*1.1))</f>
        <v/>
      </c>
      <c r="F22" s="35">
        <f>IF($B$7*1.1&lt;=0,"-",($B$6*1.2)/($B$7*1.1))</f>
        <v/>
      </c>
    </row>
    <row r="23">
      <c r="A23" s="32" t="inlineStr">
        <is>
          <t>100% of benefit</t>
        </is>
      </c>
      <c r="B23" s="35">
        <f>IF($B$7*1.0&lt;=0,"-",($B$6*0.8)/($B$7*1.0))</f>
        <v/>
      </c>
      <c r="C23" s="35">
        <f>IF($B$7*1.0&lt;=0,"-",($B$6*0.9)/($B$7*1.0))</f>
        <v/>
      </c>
      <c r="D23" s="36">
        <f>IF($B$7*1.0&lt;=0,"-",($B$6*1.0)/($B$7*1.0))</f>
        <v/>
      </c>
      <c r="E23" s="35">
        <f>IF($B$7*1.0&lt;=0,"-",($B$6*1.1)/($B$7*1.0))</f>
        <v/>
      </c>
      <c r="F23" s="35">
        <f>IF($B$7*1.0&lt;=0,"-",($B$6*1.2)/($B$7*1.0))</f>
        <v/>
      </c>
    </row>
    <row r="24">
      <c r="A24" s="32" t="inlineStr">
        <is>
          <t>90% of benefit</t>
        </is>
      </c>
      <c r="B24" s="35">
        <f>IF($B$7*0.9&lt;=0,"-",($B$6*0.8)/($B$7*0.9))</f>
        <v/>
      </c>
      <c r="C24" s="35">
        <f>IF($B$7*0.9&lt;=0,"-",($B$6*0.9)/($B$7*0.9))</f>
        <v/>
      </c>
      <c r="D24" s="35">
        <f>IF($B$7*0.9&lt;=0,"-",($B$6*1.0)/($B$7*0.9))</f>
        <v/>
      </c>
      <c r="E24" s="35">
        <f>IF($B$7*0.9&lt;=0,"-",($B$6*1.1)/($B$7*0.9))</f>
        <v/>
      </c>
      <c r="F24" s="35">
        <f>IF($B$7*0.9&lt;=0,"-",($B$6*1.2)/($B$7*0.9))</f>
        <v/>
      </c>
    </row>
    <row r="25">
      <c r="A25" s="32" t="inlineStr">
        <is>
          <t>80% of benefit</t>
        </is>
      </c>
      <c r="B25" s="35">
        <f>IF($B$7*0.8&lt;=0,"-",($B$6*0.8)/($B$7*0.8))</f>
        <v/>
      </c>
      <c r="C25" s="35">
        <f>IF($B$7*0.8&lt;=0,"-",($B$6*0.9)/($B$7*0.8))</f>
        <v/>
      </c>
      <c r="D25" s="35">
        <f>IF($B$7*0.8&lt;=0,"-",($B$6*1.0)/($B$7*0.8))</f>
        <v/>
      </c>
      <c r="E25" s="35">
        <f>IF($B$7*0.8&lt;=0,"-",($B$6*1.1)/($B$7*0.8))</f>
        <v/>
      </c>
      <c r="F25" s="35">
        <f>IF($B$7*0.8&lt;=0,"-",($B$6*1.2)/($B$7*0.8))</f>
        <v/>
      </c>
    </row>
    <row r="27">
      <c r="A27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28">
      <c r="A28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2026-07-23T11:42:46Z</dcterms:created>
  <dcterms:modified xmlns:dcterms="http://purl.org/dc/terms/" xmlns:xsi="http://www.w3.org/2001/XMLSchema-instance" xsi:type="dcterms:W3CDTF">2026-07-23T11:42:46Z</dcterms:modified>
</cp:coreProperties>
</file>